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activeTab="0"/>
  </bookViews>
  <sheets>
    <sheet name="nyugdij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<sst xmlns="http://schemas.openxmlformats.org/spreadsheetml/2006/main" count="23" uniqueCount="22">
  <si>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© Angyal József okleveles adószakértő</t>
  </si>
  <si>
    <t>Év</t>
  </si>
  <si>
    <t>Éves
jutalom</t>
  </si>
  <si>
    <t>Éves átlag
kereset</t>
  </si>
  <si>
    <t>Valorizált
összeg</t>
  </si>
  <si>
    <t>Szolgálati idő (évek száma):</t>
  </si>
  <si>
    <t>Százalék:</t>
  </si>
  <si>
    <t>%</t>
  </si>
  <si>
    <t xml:space="preserve"> Forint</t>
  </si>
  <si>
    <t>Nyugdíj alapja</t>
  </si>
  <si>
    <t xml:space="preserve">     Számított Havi átlagkereset:</t>
  </si>
  <si>
    <t xml:space="preserve">    Havi nyugdíj becsült összege:</t>
  </si>
  <si>
    <t>Szja alap
számítása</t>
  </si>
  <si>
    <t>Szja 
számítása</t>
  </si>
  <si>
    <t>nap</t>
  </si>
  <si>
    <t>Megjegyzés: Nem kell mindegyik évet kitölteni ahhoz, hogy a kalkulátor számoljon nyugdíjat.</t>
  </si>
  <si>
    <t>Biztosításból
kieső idő nap</t>
  </si>
  <si>
    <t>Nyugdíjjárulék
alapja (éves)</t>
  </si>
  <si>
    <t>Minél több évet tud megadni, annál pontosabb a havi nyugdíj becsült összege.</t>
  </si>
  <si>
    <t>A "zöld" színű mezőbe kell írnia, a "sárga" színű mezőket számolja a program.</t>
  </si>
  <si>
    <t>Nyugdíj kalkulátor 2013</t>
  </si>
  <si>
    <t>www.angyalado.hu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</si>
</sst>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#,##0\ &quot;Ft&quot;"/>
    <numFmt numFmtId="167" formatCode="0.0"/>
    <numFmt numFmtId="168" formatCode="#,##0,&quot;nap&quot;"/>
    <numFmt numFmtId="169" formatCode="#,##0,&quot; nap&quot;"/>
    <numFmt numFmtId="170" formatCode="#,##0.00\ &quot;Ft&quot;"/>
    <numFmt numFmtId="171" formatCode="#,##0&quot; nap&quot;"/>
    <numFmt numFmtId="172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55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13"/>
      <name val="Calibri"/>
      <family val="2"/>
    </font>
    <font>
      <b/>
      <sz val="14"/>
      <color indexed="13"/>
      <name val="Tahoma"/>
      <family val="2"/>
    </font>
    <font>
      <b/>
      <i/>
      <sz val="12"/>
      <color indexed="8"/>
      <name val="Tahoma"/>
      <family val="2"/>
    </font>
    <font>
      <b/>
      <sz val="18"/>
      <color indexed="13"/>
      <name val="Tahoma"/>
      <family val="2"/>
    </font>
    <font>
      <sz val="11"/>
      <color indexed="8"/>
      <name val="Tahoma"/>
      <family val="2"/>
    </font>
    <font>
      <b/>
      <u val="single"/>
      <sz val="11"/>
      <color indexed="13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12" fillId="33" borderId="16" xfId="0" applyNumberFormat="1" applyFont="1" applyFill="1" applyBorder="1" applyAlignment="1">
      <alignment horizontal="center"/>
    </xf>
    <xf numFmtId="0" fontId="12" fillId="33" borderId="17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13" fillId="33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3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0" xfId="0" applyFont="1" applyFill="1" applyBorder="1" applyAlignment="1">
      <alignment/>
    </xf>
    <xf numFmtId="1" fontId="17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67" fontId="3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9" fillId="34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/>
    </xf>
    <xf numFmtId="0" fontId="19" fillId="34" borderId="22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4" borderId="22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23" fillId="0" borderId="27" xfId="0" applyFont="1" applyBorder="1" applyAlignment="1">
      <alignment/>
    </xf>
    <xf numFmtId="3" fontId="17" fillId="35" borderId="28" xfId="0" applyNumberFormat="1" applyFont="1" applyFill="1" applyBorder="1" applyAlignment="1">
      <alignment/>
    </xf>
    <xf numFmtId="166" fontId="3" fillId="36" borderId="29" xfId="0" applyNumberFormat="1" applyFont="1" applyFill="1" applyBorder="1" applyAlignment="1" applyProtection="1">
      <alignment/>
      <protection/>
    </xf>
    <xf numFmtId="166" fontId="3" fillId="37" borderId="30" xfId="0" applyNumberFormat="1" applyFont="1" applyFill="1" applyBorder="1" applyAlignment="1" applyProtection="1">
      <alignment/>
      <protection locked="0"/>
    </xf>
    <xf numFmtId="171" fontId="3" fillId="37" borderId="31" xfId="0" applyNumberFormat="1" applyFont="1" applyFill="1" applyBorder="1" applyAlignment="1" applyProtection="1">
      <alignment horizontal="center"/>
      <protection locked="0"/>
    </xf>
    <xf numFmtId="166" fontId="3" fillId="37" borderId="32" xfId="0" applyNumberFormat="1" applyFont="1" applyFill="1" applyBorder="1" applyAlignment="1" applyProtection="1">
      <alignment/>
      <protection locked="0"/>
    </xf>
    <xf numFmtId="1" fontId="17" fillId="37" borderId="15" xfId="0" applyNumberFormat="1" applyFont="1" applyFill="1" applyBorder="1" applyAlignment="1" applyProtection="1">
      <alignment horizontal="center"/>
      <protection locked="0"/>
    </xf>
    <xf numFmtId="0" fontId="24" fillId="34" borderId="0" xfId="0" applyFont="1" applyFill="1" applyAlignment="1">
      <alignment/>
    </xf>
    <xf numFmtId="3" fontId="3" fillId="38" borderId="32" xfId="0" applyNumberFormat="1" applyFont="1" applyFill="1" applyBorder="1" applyAlignment="1">
      <alignment/>
    </xf>
    <xf numFmtId="167" fontId="3" fillId="38" borderId="32" xfId="0" applyNumberFormat="1" applyFont="1" applyFill="1" applyBorder="1" applyAlignment="1">
      <alignment horizontal="center"/>
    </xf>
    <xf numFmtId="166" fontId="3" fillId="38" borderId="33" xfId="0" applyNumberFormat="1" applyFont="1" applyFill="1" applyBorder="1" applyAlignment="1">
      <alignment/>
    </xf>
    <xf numFmtId="166" fontId="3" fillId="38" borderId="34" xfId="0" applyNumberFormat="1" applyFont="1" applyFill="1" applyBorder="1" applyAlignment="1">
      <alignment/>
    </xf>
    <xf numFmtId="3" fontId="16" fillId="38" borderId="35" xfId="0" applyNumberFormat="1" applyFont="1" applyFill="1" applyBorder="1" applyAlignment="1">
      <alignment/>
    </xf>
    <xf numFmtId="166" fontId="3" fillId="38" borderId="36" xfId="0" applyNumberFormat="1" applyFont="1" applyFill="1" applyBorder="1" applyAlignment="1">
      <alignment/>
    </xf>
    <xf numFmtId="0" fontId="57" fillId="34" borderId="0" xfId="43" applyFont="1" applyFill="1" applyAlignment="1" applyProtection="1">
      <alignment/>
      <protection/>
    </xf>
    <xf numFmtId="166" fontId="3" fillId="38" borderId="37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yalado.h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2" width="2.7109375" style="0" customWidth="1"/>
    <col min="3" max="3" width="6.7109375" style="0" customWidth="1"/>
    <col min="4" max="4" width="13.7109375" style="0" customWidth="1"/>
    <col min="5" max="5" width="12.28125" style="0" customWidth="1"/>
    <col min="6" max="6" width="12.57421875" style="0" customWidth="1"/>
    <col min="7" max="7" width="12.7109375" style="0" customWidth="1"/>
    <col min="8" max="8" width="12.8515625" style="0" customWidth="1"/>
    <col min="9" max="9" width="4.421875" style="0" customWidth="1"/>
    <col min="10" max="10" width="2.7109375" style="0" customWidth="1"/>
    <col min="11" max="11" width="3.00390625" style="0" customWidth="1"/>
    <col min="12" max="12" width="66.421875" style="0" customWidth="1"/>
    <col min="13" max="13" width="16.7109375" style="0" customWidth="1"/>
    <col min="14" max="15" width="12.421875" style="0" customWidth="1"/>
    <col min="16" max="16" width="9.57421875" style="0" bestFit="1" customWidth="1"/>
  </cols>
  <sheetData>
    <row r="1" spans="1:15" ht="9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31"/>
      <c r="N1" s="31"/>
      <c r="O1" s="31"/>
    </row>
    <row r="2" spans="1:15" ht="25.5" customHeight="1">
      <c r="A2" s="48"/>
      <c r="B2" s="49"/>
      <c r="C2" s="57" t="s">
        <v>20</v>
      </c>
      <c r="D2" s="50"/>
      <c r="E2" s="50"/>
      <c r="F2" s="50"/>
      <c r="G2" s="51"/>
      <c r="H2" s="51"/>
      <c r="I2" s="51"/>
      <c r="J2" s="52"/>
      <c r="K2" s="48"/>
      <c r="L2" s="1"/>
      <c r="M2" s="31"/>
      <c r="N2" s="31"/>
      <c r="O2" s="31"/>
    </row>
    <row r="3" spans="1:15" ht="6" customHeight="1">
      <c r="A3" s="38"/>
      <c r="B3" s="3"/>
      <c r="C3" s="2"/>
      <c r="D3" s="2"/>
      <c r="E3" s="2"/>
      <c r="F3" s="2"/>
      <c r="G3" s="2"/>
      <c r="H3" s="2"/>
      <c r="I3" s="2"/>
      <c r="J3" s="4"/>
      <c r="K3" s="38"/>
      <c r="L3" s="1"/>
      <c r="M3" s="31"/>
      <c r="N3" s="31"/>
      <c r="O3" s="31"/>
    </row>
    <row r="4" spans="1:15" ht="15" customHeight="1">
      <c r="A4" s="38"/>
      <c r="B4" s="3"/>
      <c r="C4" s="24" t="s">
        <v>5</v>
      </c>
      <c r="D4" s="10"/>
      <c r="E4" s="10"/>
      <c r="F4" s="76">
        <v>40</v>
      </c>
      <c r="G4" s="25" t="s">
        <v>6</v>
      </c>
      <c r="H4" s="79">
        <f>IF(F4&lt;10,0,IF(F4&lt;26,33+(F4-10)*2,IF(F4&lt;37,63+(F4-25),IF(F4&lt;41,74+(F4-36)*1.5,MIN(80+(F4-40)*2,100)))))</f>
        <v>80</v>
      </c>
      <c r="I4" s="55" t="s">
        <v>7</v>
      </c>
      <c r="J4" s="4"/>
      <c r="K4" s="38"/>
      <c r="L4" s="1"/>
      <c r="M4" s="31"/>
      <c r="N4" s="31"/>
      <c r="O4" s="31"/>
    </row>
    <row r="5" spans="1:15" ht="6.75" customHeight="1">
      <c r="A5" s="38"/>
      <c r="B5" s="40"/>
      <c r="C5" s="43"/>
      <c r="D5" s="41"/>
      <c r="E5" s="41"/>
      <c r="F5" s="44"/>
      <c r="G5" s="45"/>
      <c r="H5" s="46"/>
      <c r="I5" s="47"/>
      <c r="J5" s="42"/>
      <c r="K5" s="38"/>
      <c r="L5" s="1"/>
      <c r="M5" s="31"/>
      <c r="N5" s="31"/>
      <c r="O5" s="31"/>
    </row>
    <row r="6" spans="1:15" ht="7.5" customHeight="1">
      <c r="A6" s="38"/>
      <c r="B6" s="3"/>
      <c r="C6" s="10"/>
      <c r="D6" s="10"/>
      <c r="E6" s="10"/>
      <c r="F6" s="15"/>
      <c r="G6" s="1"/>
      <c r="H6" s="16"/>
      <c r="I6" s="2"/>
      <c r="J6" s="4"/>
      <c r="K6" s="38"/>
      <c r="L6" s="1"/>
      <c r="M6" s="31"/>
      <c r="N6" s="31"/>
      <c r="O6" s="31"/>
    </row>
    <row r="7" spans="1:15" ht="15" customHeight="1">
      <c r="A7" s="38"/>
      <c r="B7" s="3"/>
      <c r="C7" s="18" t="s">
        <v>10</v>
      </c>
      <c r="D7" s="1"/>
      <c r="E7" s="1"/>
      <c r="F7" s="78">
        <f>SUM(H14:H39)/MAX(SUM(I14:I39)-SUM(F14:F39),1)*365/12</f>
        <v>56971.9562243502</v>
      </c>
      <c r="G7" s="28" t="s">
        <v>9</v>
      </c>
      <c r="H7" s="78">
        <f>IF(F7&lt;289001,F7,IF(F7&lt;328001,289000+(F7-289000)*0.9,IF(F7&lt;370001,324100+(F7-328000)*0.8,357700+(F7-370000)*0.7)))</f>
        <v>56971.9562243502</v>
      </c>
      <c r="I7" s="54" t="s">
        <v>8</v>
      </c>
      <c r="J7" s="4"/>
      <c r="K7" s="38"/>
      <c r="L7" s="1"/>
      <c r="M7" s="31"/>
      <c r="N7" s="32"/>
      <c r="O7" s="31"/>
    </row>
    <row r="8" spans="1:15" ht="9.75" customHeight="1" thickBot="1">
      <c r="A8" s="38"/>
      <c r="B8" s="3"/>
      <c r="C8" s="1"/>
      <c r="D8" s="12"/>
      <c r="E8" s="13"/>
      <c r="F8" s="12"/>
      <c r="G8" s="13"/>
      <c r="H8" s="12"/>
      <c r="I8" s="8"/>
      <c r="J8" s="4"/>
      <c r="K8" s="38"/>
      <c r="L8" s="1"/>
      <c r="M8" s="31"/>
      <c r="N8" s="31"/>
      <c r="O8" s="31"/>
    </row>
    <row r="9" spans="1:15" ht="15" customHeight="1" thickBot="1" thickTop="1">
      <c r="A9" s="38"/>
      <c r="B9" s="3"/>
      <c r="C9" s="56" t="s">
        <v>11</v>
      </c>
      <c r="D9" s="10"/>
      <c r="E9" s="10"/>
      <c r="G9" s="71">
        <f>MAX(H7*H4/100,28500)</f>
        <v>45577.56497948016</v>
      </c>
      <c r="H9" s="53" t="s">
        <v>8</v>
      </c>
      <c r="J9" s="4"/>
      <c r="K9" s="38"/>
      <c r="L9" s="1"/>
      <c r="M9" s="31"/>
      <c r="N9" s="31"/>
      <c r="O9" s="31"/>
    </row>
    <row r="10" spans="1:15" ht="12.75" customHeight="1" thickTop="1">
      <c r="A10" s="38"/>
      <c r="B10" s="14"/>
      <c r="C10" s="1"/>
      <c r="D10" s="1"/>
      <c r="E10" s="1"/>
      <c r="F10" s="1"/>
      <c r="G10" s="1"/>
      <c r="H10" s="8"/>
      <c r="I10" s="2"/>
      <c r="J10" s="4"/>
      <c r="K10" s="38"/>
      <c r="L10" s="1"/>
      <c r="M10" s="31"/>
      <c r="N10" s="31"/>
      <c r="O10" s="31"/>
    </row>
    <row r="11" spans="1:15" ht="9.75" customHeight="1">
      <c r="A11" s="38"/>
      <c r="B11" s="40"/>
      <c r="C11" s="41"/>
      <c r="D11" s="41"/>
      <c r="E11" s="41"/>
      <c r="F11" s="64"/>
      <c r="G11" s="65"/>
      <c r="H11" s="66"/>
      <c r="I11" s="62"/>
      <c r="J11" s="63"/>
      <c r="K11" s="38"/>
      <c r="L11" s="1"/>
      <c r="M11" s="31"/>
      <c r="N11" s="31"/>
      <c r="O11" s="31"/>
    </row>
    <row r="12" spans="1:15" ht="15" customHeight="1">
      <c r="A12" s="38"/>
      <c r="B12" s="3"/>
      <c r="C12" s="11"/>
      <c r="D12" s="11"/>
      <c r="E12" s="69"/>
      <c r="F12" s="61"/>
      <c r="G12" s="61"/>
      <c r="H12" s="70"/>
      <c r="I12" s="67"/>
      <c r="J12" s="68"/>
      <c r="K12" s="38"/>
      <c r="L12" s="1"/>
      <c r="M12" s="31"/>
      <c r="N12" s="31"/>
      <c r="O12" s="31"/>
    </row>
    <row r="13" spans="1:15" ht="27.75" customHeight="1">
      <c r="A13" s="38"/>
      <c r="B13" s="3"/>
      <c r="C13" s="17" t="s">
        <v>1</v>
      </c>
      <c r="D13" s="22" t="s">
        <v>17</v>
      </c>
      <c r="E13" s="58" t="s">
        <v>2</v>
      </c>
      <c r="F13" s="59" t="s">
        <v>16</v>
      </c>
      <c r="G13" s="60" t="s">
        <v>3</v>
      </c>
      <c r="H13" s="23" t="s">
        <v>4</v>
      </c>
      <c r="I13" s="21" t="s">
        <v>14</v>
      </c>
      <c r="J13" s="4"/>
      <c r="K13" s="38"/>
      <c r="L13" s="1"/>
      <c r="M13" s="33" t="s">
        <v>12</v>
      </c>
      <c r="N13" s="33" t="s">
        <v>13</v>
      </c>
      <c r="O13" s="33"/>
    </row>
    <row r="14" spans="1:15" ht="12.75" customHeight="1">
      <c r="A14" s="38"/>
      <c r="B14" s="3"/>
      <c r="C14" s="19">
        <v>2013</v>
      </c>
      <c r="D14" s="73">
        <v>800000</v>
      </c>
      <c r="E14" s="72"/>
      <c r="F14" s="74"/>
      <c r="G14" s="80">
        <f>D14*0.815-N14</f>
        <v>547680</v>
      </c>
      <c r="H14" s="85">
        <f>G14*1</f>
        <v>547680</v>
      </c>
      <c r="I14" s="82">
        <f>IF(G14&gt;0,365,0)</f>
        <v>365</v>
      </c>
      <c r="J14" s="4"/>
      <c r="K14" s="38"/>
      <c r="L14" s="1"/>
      <c r="M14" s="32">
        <f>MAX(MIN(D14/(365-F14)*365+0,97942200)*0.815,0)</f>
        <v>652000</v>
      </c>
      <c r="N14" s="32">
        <f>MAX((M14*0.16)/365*(365-F14),0)</f>
        <v>104320</v>
      </c>
      <c r="O14" s="33"/>
    </row>
    <row r="15" spans="1:15" ht="12.75" customHeight="1">
      <c r="A15" s="38"/>
      <c r="B15" s="3"/>
      <c r="C15" s="19">
        <v>2012</v>
      </c>
      <c r="D15" s="73">
        <v>1200000</v>
      </c>
      <c r="E15" s="72"/>
      <c r="F15" s="74"/>
      <c r="G15" s="80">
        <f>MIN(D15+0,(366-F15)*21700)*0.815-N15</f>
        <v>821519.9999999999</v>
      </c>
      <c r="H15" s="81">
        <f>G15*1</f>
        <v>821519.9999999999</v>
      </c>
      <c r="I15" s="82">
        <f>IF(G15&gt;0,366,0)</f>
        <v>366</v>
      </c>
      <c r="J15" s="4"/>
      <c r="K15" s="38"/>
      <c r="L15" s="1"/>
      <c r="M15" s="32">
        <f>MAX(MIN(D15/(365-F15)*365+0,7942200)*0.815,0)</f>
        <v>977999.9999999999</v>
      </c>
      <c r="N15" s="32">
        <f>MAX((M15*0.16+MAX(M15-2424000,0)*0.0432)/366*(366-F15),0)</f>
        <v>156479.99999999997</v>
      </c>
      <c r="O15" s="33"/>
    </row>
    <row r="16" spans="1:15" ht="12.75" customHeight="1">
      <c r="A16" s="38"/>
      <c r="B16" s="3"/>
      <c r="C16" s="19">
        <v>2011</v>
      </c>
      <c r="D16" s="73"/>
      <c r="E16" s="72"/>
      <c r="F16" s="74"/>
      <c r="G16" s="80">
        <f>MIN(D16+0,(365-F16)*21000)*0.825-N16</f>
        <v>0</v>
      </c>
      <c r="H16" s="83">
        <f>G16*1.02</f>
        <v>0</v>
      </c>
      <c r="I16" s="82">
        <f>IF(G16&gt;0,365,0)</f>
        <v>0</v>
      </c>
      <c r="J16" s="4"/>
      <c r="K16" s="38"/>
      <c r="L16" s="1"/>
      <c r="M16" s="32">
        <f>MAX(MIN(D16/(365-F16)*365+0,7665000)*0.825,0)</f>
        <v>0</v>
      </c>
      <c r="N16" s="32">
        <f>MAX((M16*1.27*0.16)-MIN(M16*1.27*0.16,145200),0)/365*(365-F16)</f>
        <v>0</v>
      </c>
      <c r="O16" s="33"/>
    </row>
    <row r="17" spans="1:16" ht="12.75" customHeight="1">
      <c r="A17" s="38"/>
      <c r="B17" s="3"/>
      <c r="C17" s="19">
        <v>2010</v>
      </c>
      <c r="D17" s="73"/>
      <c r="E17" s="72"/>
      <c r="F17" s="74"/>
      <c r="G17" s="80">
        <f>MIN(D17+0,(365-F17)*20420)*0.83-N17</f>
        <v>0</v>
      </c>
      <c r="H17" s="83">
        <f>G17*1.085</f>
        <v>0</v>
      </c>
      <c r="I17" s="82">
        <f>IF(G17&gt;0,365,0)</f>
        <v>0</v>
      </c>
      <c r="J17" s="4"/>
      <c r="K17" s="38"/>
      <c r="L17" s="26"/>
      <c r="M17" s="32">
        <f>MAX(MIN(D17/(365-F17)*365+0,7453300)*0.83,0)</f>
        <v>0</v>
      </c>
      <c r="N17" s="32">
        <f>MAX((M17*1.27*0.17+MAX(M17*1.27-5000000,0)*0.15)-MIN(M17*1.27*0.17,181200),0)/365*(365-F17)</f>
        <v>0</v>
      </c>
      <c r="O17" s="34"/>
      <c r="P17" s="29"/>
    </row>
    <row r="18" spans="1:16" ht="12.75" customHeight="1">
      <c r="A18" s="38"/>
      <c r="B18" s="3"/>
      <c r="C18" s="20">
        <v>2009</v>
      </c>
      <c r="D18" s="73"/>
      <c r="E18" s="75"/>
      <c r="F18" s="74"/>
      <c r="G18" s="80">
        <f>MIN(D18+E18,(365-F18)*20400)*0.83-N18</f>
        <v>0</v>
      </c>
      <c r="H18" s="83">
        <f>G18*1.159</f>
        <v>0</v>
      </c>
      <c r="I18" s="82">
        <f>IF(G18&gt;0,365,0)</f>
        <v>0</v>
      </c>
      <c r="J18" s="4"/>
      <c r="K18" s="38"/>
      <c r="L18" s="1"/>
      <c r="M18" s="32">
        <f>MAX(MIN(D18/(365-F18)*365+E18,7446000)*0.83,0)</f>
        <v>0</v>
      </c>
      <c r="N18" s="32">
        <f>MAX((M18*0.18+MAX(M18-1900000,0)*0.18)-MIN(M18*0.18,136080),0)/365*(365-F18)</f>
        <v>0</v>
      </c>
      <c r="O18" s="35"/>
      <c r="P18" s="27"/>
    </row>
    <row r="19" spans="1:16" ht="12.75" customHeight="1">
      <c r="A19" s="38"/>
      <c r="B19" s="3"/>
      <c r="C19" s="20">
        <v>2008</v>
      </c>
      <c r="D19" s="73"/>
      <c r="E19" s="75"/>
      <c r="F19" s="74"/>
      <c r="G19" s="80">
        <f>MIN(D19+E19,(366-F19)*19500)*0.83-N19</f>
        <v>0</v>
      </c>
      <c r="H19" s="83">
        <f>G19*1.18</f>
        <v>0</v>
      </c>
      <c r="I19" s="82">
        <f>IF(G19&gt;0,366,0)</f>
        <v>0</v>
      </c>
      <c r="J19" s="4"/>
      <c r="K19" s="38"/>
      <c r="L19" s="1"/>
      <c r="M19" s="32">
        <f>MAX(MIN(D19/(366-F19)*366+E19,7137000)*0.83,0)</f>
        <v>0</v>
      </c>
      <c r="N19" s="32">
        <f>MAX((M19*0.18+MAX(M19-1700000,0)*0.18)-MIN(M19*0.18,136080),0)/366*(366-F19)</f>
        <v>0</v>
      </c>
      <c r="O19" s="35"/>
      <c r="P19" s="27"/>
    </row>
    <row r="20" spans="1:16" ht="12.75" customHeight="1">
      <c r="A20" s="38"/>
      <c r="B20" s="3"/>
      <c r="C20" s="20">
        <v>2007</v>
      </c>
      <c r="D20" s="73"/>
      <c r="E20" s="75"/>
      <c r="F20" s="74"/>
      <c r="G20" s="80">
        <f>MIN(D20+E20,(365-F20)*18490)*0.83-N20</f>
        <v>0</v>
      </c>
      <c r="H20" s="83">
        <f>G20*1.263</f>
        <v>0</v>
      </c>
      <c r="I20" s="82">
        <f aca="true" t="shared" si="0" ref="I20:I38">IF(G20&gt;0,365,0)</f>
        <v>0</v>
      </c>
      <c r="J20" s="4"/>
      <c r="K20" s="38"/>
      <c r="L20" s="1"/>
      <c r="M20" s="32">
        <f>MAX(MIN(D20/(365-F20)*365+E20,6748850)*0.83,0)</f>
        <v>0</v>
      </c>
      <c r="N20" s="32">
        <f>MAX((M20*0.18+MAX(M20-1700000,0)*0.18)-MIN(M20*0.18,108000),0)/365*(365-F20)</f>
        <v>0</v>
      </c>
      <c r="O20" s="35"/>
      <c r="P20" s="27"/>
    </row>
    <row r="21" spans="1:16" ht="12.75" customHeight="1">
      <c r="A21" s="38"/>
      <c r="B21" s="3"/>
      <c r="C21" s="20">
        <v>2006</v>
      </c>
      <c r="D21" s="73"/>
      <c r="E21" s="75"/>
      <c r="F21" s="74"/>
      <c r="G21" s="80">
        <f>MIN(D21+E21,(365-F21)*17330)*0.858-N21</f>
        <v>0</v>
      </c>
      <c r="H21" s="83">
        <f>G21*1.3</f>
        <v>0</v>
      </c>
      <c r="I21" s="82">
        <f t="shared" si="0"/>
        <v>0</v>
      </c>
      <c r="J21" s="4"/>
      <c r="K21" s="38"/>
      <c r="L21" s="1"/>
      <c r="M21" s="32">
        <f>MAX(MIN(D21/(365-F21)*365+E21,6325450)*0.858,0)</f>
        <v>0</v>
      </c>
      <c r="N21" s="32">
        <f>MAX((M21*0.18+MAX(M21-1550000,0)*0.18)-MIN(M21*0.18,108000),0)/365*(365-F21)</f>
        <v>0</v>
      </c>
      <c r="O21" s="35"/>
      <c r="P21" s="27"/>
    </row>
    <row r="22" spans="1:16" ht="12.75" customHeight="1">
      <c r="A22" s="38"/>
      <c r="B22" s="3"/>
      <c r="C22" s="20">
        <v>2005</v>
      </c>
      <c r="D22" s="73"/>
      <c r="E22" s="75"/>
      <c r="F22" s="74"/>
      <c r="G22" s="80">
        <f>MIN(D22+E22,(365-F22)*16440)*0.865-N22</f>
        <v>0</v>
      </c>
      <c r="H22" s="83">
        <f>G22*1.399</f>
        <v>0</v>
      </c>
      <c r="I22" s="82">
        <f t="shared" si="0"/>
        <v>0</v>
      </c>
      <c r="J22" s="4"/>
      <c r="K22" s="38"/>
      <c r="L22" s="1"/>
      <c r="M22" s="32">
        <f>MAX(MIN(D22/(365-F22)*365+E22,6000600)*0.865,0)</f>
        <v>0</v>
      </c>
      <c r="N22" s="32">
        <f>MAX((M22*0.18+MAX(M22-1500000,0)*0.18)-MIN(M22*0.18,108000),0)/365*(365-F22)</f>
        <v>0</v>
      </c>
      <c r="O22" s="35"/>
      <c r="P22" s="27"/>
    </row>
    <row r="23" spans="1:16" ht="12.75" customHeight="1">
      <c r="A23" s="38"/>
      <c r="B23" s="3"/>
      <c r="C23" s="20">
        <v>2004</v>
      </c>
      <c r="D23" s="73"/>
      <c r="E23" s="75"/>
      <c r="F23" s="74"/>
      <c r="G23" s="80">
        <f>MIN(D23+E23,(366-F23)*14500)*0.865-N23</f>
        <v>0</v>
      </c>
      <c r="H23" s="83">
        <f>G23*1.541</f>
        <v>0</v>
      </c>
      <c r="I23" s="82">
        <f>IF(G23&gt;0,366,0)</f>
        <v>0</v>
      </c>
      <c r="J23" s="4"/>
      <c r="K23" s="38"/>
      <c r="L23" s="1"/>
      <c r="M23" s="32">
        <f>MAX(MIN(D23/(366-F23)*366+E23,5307000)*0.865,0)</f>
        <v>0</v>
      </c>
      <c r="N23" s="32">
        <f>MAX((M23*0.18+MAX(M23-800000,0)*0.08+MAX(M23-1500000,0)*0.12)-MIN(M23*0.18,108000),0)/366*(366-F23)</f>
        <v>0</v>
      </c>
      <c r="O23" s="35"/>
      <c r="P23" s="27"/>
    </row>
    <row r="24" spans="1:16" ht="12.75" customHeight="1">
      <c r="A24" s="38"/>
      <c r="B24" s="3"/>
      <c r="C24" s="20">
        <v>2003</v>
      </c>
      <c r="D24" s="73"/>
      <c r="E24" s="75"/>
      <c r="F24" s="74"/>
      <c r="G24" s="80">
        <f>MIN(D24+E24,(365-F24)*10700)*0.875-N24</f>
        <v>0</v>
      </c>
      <c r="H24" s="83">
        <f>G24*1.628</f>
        <v>0</v>
      </c>
      <c r="I24" s="82">
        <f t="shared" si="0"/>
        <v>0</v>
      </c>
      <c r="J24" s="4"/>
      <c r="K24" s="38"/>
      <c r="L24" s="1"/>
      <c r="M24" s="32">
        <f>MAX(MIN(D24/(365-F24)*365+E24,3905500)*0.875,0)</f>
        <v>0</v>
      </c>
      <c r="N24" s="32">
        <f>MAX((M24*0.2+MAX(M24-650000,0)*0.1+MAX(M24-1350000,0)*0.1)-MIN(M24*0.18,108000)-MIN(M24,3905500)*0.085*0.25,0)/365*(365-F24)</f>
        <v>0</v>
      </c>
      <c r="O24" s="34"/>
      <c r="P24" s="30"/>
    </row>
    <row r="25" spans="1:16" ht="12.75" customHeight="1">
      <c r="A25" s="38"/>
      <c r="B25" s="3"/>
      <c r="C25" s="20">
        <v>2002</v>
      </c>
      <c r="D25" s="73"/>
      <c r="E25" s="75"/>
      <c r="F25" s="74"/>
      <c r="G25" s="80">
        <f>MIN(D25+E25,(365-F25)*6490)*0.875-N25</f>
        <v>0</v>
      </c>
      <c r="H25" s="83">
        <f>G25*1.861</f>
        <v>0</v>
      </c>
      <c r="I25" s="82">
        <f t="shared" si="0"/>
        <v>0</v>
      </c>
      <c r="J25" s="4"/>
      <c r="K25" s="38"/>
      <c r="L25" s="1"/>
      <c r="M25" s="32">
        <f>MAX(MIN(D25/(365-F25)*365+E25,2368850)*0.875,0)</f>
        <v>0</v>
      </c>
      <c r="N25" s="32">
        <f>MAX((M25*0.2+MAX(M25-600000,0)*0.1+MAX(M25-1200000,0)*0.1)-MIN(M25*0.18,60000)-MIN(M25,2368850)*0.02,0)/365*(365-F25)</f>
        <v>0</v>
      </c>
      <c r="O25" s="34"/>
      <c r="P25" s="27"/>
    </row>
    <row r="26" spans="1:16" ht="12.75" customHeight="1">
      <c r="A26" s="38"/>
      <c r="B26" s="3"/>
      <c r="C26" s="20">
        <v>2001</v>
      </c>
      <c r="D26" s="73"/>
      <c r="E26" s="75"/>
      <c r="F26" s="74"/>
      <c r="G26" s="80">
        <f>MIN(D26+E26,(365-F26)*6020)*0.875-N26</f>
        <v>0</v>
      </c>
      <c r="H26" s="83">
        <f>G26*2.226</f>
        <v>0</v>
      </c>
      <c r="I26" s="82">
        <f t="shared" si="0"/>
        <v>0</v>
      </c>
      <c r="J26" s="4"/>
      <c r="K26" s="38"/>
      <c r="L26" s="1"/>
      <c r="M26" s="32">
        <f>MAX(MIN(D26/(365-F26)*365+E26,2197300)*0.875,0)</f>
        <v>0</v>
      </c>
      <c r="N26" s="32">
        <f>MAX((M26*0.2+MAX(M26-480000,0)*0.1+MAX(M26-1050000,0)*0.1)-MIN(M26*0.1,36000)-MIN(M26,2197300)*0.02,0)/365*(365-F26)</f>
        <v>0</v>
      </c>
      <c r="O26" s="34"/>
      <c r="P26" s="27"/>
    </row>
    <row r="27" spans="1:16" ht="12.75" customHeight="1">
      <c r="A27" s="38"/>
      <c r="B27" s="3"/>
      <c r="C27" s="20">
        <v>2000</v>
      </c>
      <c r="D27" s="73"/>
      <c r="E27" s="75"/>
      <c r="F27" s="74"/>
      <c r="G27" s="80">
        <f>MIN(D27+E27,(366-F27)*5520)*0.875-N27</f>
        <v>0</v>
      </c>
      <c r="H27" s="83">
        <f>G27*2.587</f>
        <v>0</v>
      </c>
      <c r="I27" s="82">
        <f>IF(G27&gt;0,366,0)</f>
        <v>0</v>
      </c>
      <c r="J27" s="4"/>
      <c r="K27" s="38"/>
      <c r="L27" s="1"/>
      <c r="M27" s="32">
        <f>MAX(MIN(D27/(366-F27)*366+E27,2020320)*0.875,0)</f>
        <v>0</v>
      </c>
      <c r="N27" s="32">
        <f>MAX((M27*0.2+MAX(M27-400000,0)*0.1+MAX(M27-1000000,0)*0.1)-MIN(M27*0.1,36000)-MIN(M27,2020320)*0.02,0)/366*(366-F27)</f>
        <v>0</v>
      </c>
      <c r="O27" s="34"/>
      <c r="P27" s="27"/>
    </row>
    <row r="28" spans="1:16" ht="12.75" customHeight="1">
      <c r="A28" s="38"/>
      <c r="B28" s="3"/>
      <c r="C28" s="20">
        <v>1999</v>
      </c>
      <c r="D28" s="73"/>
      <c r="E28" s="75"/>
      <c r="F28" s="74"/>
      <c r="G28" s="80">
        <f>MIN(D28+E28,(365-F28)*5080)*0.875-N28</f>
        <v>0</v>
      </c>
      <c r="H28" s="83">
        <f>G28*2.882</f>
        <v>0</v>
      </c>
      <c r="I28" s="82">
        <f t="shared" si="0"/>
        <v>0</v>
      </c>
      <c r="J28" s="4"/>
      <c r="K28" s="38"/>
      <c r="L28" s="1"/>
      <c r="M28" s="32">
        <f>MAX(MIN(D28/(365-F28)*365+E28,1854200)*0.875,0)</f>
        <v>0</v>
      </c>
      <c r="N28" s="32">
        <f>MAX((M28*0.2+MAX(M28-400000,0)*0.1+MAX(M28-1000000,0)*0.1)-MIN(M28*0.1,36000)-MIN(M28,1854200)*0.02,0)/365*(365-F28)</f>
        <v>0</v>
      </c>
      <c r="O28" s="34"/>
      <c r="P28" s="27"/>
    </row>
    <row r="29" spans="1:16" ht="12.75" customHeight="1">
      <c r="A29" s="38"/>
      <c r="B29" s="3"/>
      <c r="C29" s="20">
        <v>1998</v>
      </c>
      <c r="D29" s="73"/>
      <c r="E29" s="75"/>
      <c r="F29" s="74"/>
      <c r="G29" s="80">
        <f>MIN(D29+E29,(365-F29)*4290)*0.885-N29</f>
        <v>0</v>
      </c>
      <c r="H29" s="83">
        <f>G29*3.247</f>
        <v>0</v>
      </c>
      <c r="I29" s="82">
        <f t="shared" si="0"/>
        <v>0</v>
      </c>
      <c r="J29" s="4"/>
      <c r="K29" s="38"/>
      <c r="L29" s="1"/>
      <c r="M29" s="32">
        <f>MAX(MIN(D29/(365-F29)*365+E29,1565850)*0.885,0)</f>
        <v>0</v>
      </c>
      <c r="N29" s="32">
        <f>MAX((M29*0.2+MAX(M29-250000,0)*0.02+MAX(M29-300000,0)*0.09+MAX(M29-500000,0)*0.04+MAX(M29-700000,0)*0.04+MAX(M29-1100000,0)*0.03)-MIN(M29*0.2,50400)-M29*0.0175,0)/365*(365-F29)</f>
        <v>0</v>
      </c>
      <c r="O29" s="35"/>
      <c r="P29" s="27"/>
    </row>
    <row r="30" spans="1:16" ht="12.75" customHeight="1">
      <c r="A30" s="38"/>
      <c r="B30" s="3"/>
      <c r="C30" s="20">
        <v>1997</v>
      </c>
      <c r="D30" s="73"/>
      <c r="E30" s="75"/>
      <c r="F30" s="74"/>
      <c r="G30" s="80">
        <f>MIN(D30+E30,(365-F30)*3300)*0.885-N30</f>
        <v>0</v>
      </c>
      <c r="H30" s="83">
        <f>G30*3.845</f>
        <v>0</v>
      </c>
      <c r="I30" s="82">
        <f t="shared" si="0"/>
        <v>0</v>
      </c>
      <c r="J30" s="4"/>
      <c r="K30" s="38"/>
      <c r="L30" s="1"/>
      <c r="M30" s="32">
        <f>MAX(MIN(D30/(365-F30)*365+E30,1204500)*0.885,0)</f>
        <v>0</v>
      </c>
      <c r="N30" s="32">
        <f>MAX((M30*0.2+MAX(M30-250000,0)*0.02+MAX(M30-300000,0)*0.09+MAX(M30-500000,0)*0.04+MAX(M30-700000,0)*0.04+MAX(M30-1100000,0)*0.03)-MIN(M30*0.2,43200),0)/365*(365-F30)</f>
        <v>0</v>
      </c>
      <c r="O30" s="35"/>
      <c r="P30" s="27"/>
    </row>
    <row r="31" spans="1:16" ht="12.75" customHeight="1">
      <c r="A31" s="38"/>
      <c r="B31" s="3"/>
      <c r="C31" s="20">
        <v>1996</v>
      </c>
      <c r="D31" s="73"/>
      <c r="E31" s="75"/>
      <c r="F31" s="74"/>
      <c r="G31" s="80">
        <f>MIN(D31+E31,(366-F31)*2500)*0.885-N31</f>
        <v>0</v>
      </c>
      <c r="H31" s="83">
        <f>G31*4.772</f>
        <v>0</v>
      </c>
      <c r="I31" s="82">
        <f>IF(G31&gt;0,366,0)</f>
        <v>0</v>
      </c>
      <c r="J31" s="4"/>
      <c r="K31" s="38"/>
      <c r="L31" s="1"/>
      <c r="M31" s="32">
        <f>MAX(MIN(D31/(366-F31)*366+E31,915000)*0.885,0)</f>
        <v>0</v>
      </c>
      <c r="N31" s="32">
        <f>MAX((M31*0.2+MAX(M31-150000,0)*0.05+MAX(M31-220000,0)*0.1+MAX(M31-380000,0)*0.05+MAX(M31-550000,0)*0.04+MAX(M31-900000,0)*0.04),0)/366*(366-F31)</f>
        <v>0</v>
      </c>
      <c r="O31" s="35"/>
      <c r="P31" s="27"/>
    </row>
    <row r="32" spans="1:16" ht="12.75" customHeight="1">
      <c r="A32" s="38"/>
      <c r="B32" s="3"/>
      <c r="C32" s="20">
        <v>1995</v>
      </c>
      <c r="D32" s="73"/>
      <c r="E32" s="75"/>
      <c r="F32" s="74"/>
      <c r="G32" s="80">
        <f>MIN(D32+E32,(365-F32)*2500)*0.885-N32</f>
        <v>0</v>
      </c>
      <c r="H32" s="83">
        <f>G32*5.602</f>
        <v>0</v>
      </c>
      <c r="I32" s="82">
        <f t="shared" si="0"/>
        <v>0</v>
      </c>
      <c r="J32" s="4"/>
      <c r="K32" s="38"/>
      <c r="L32" s="1"/>
      <c r="M32" s="32">
        <f>MAX(MIN(D32/(365-F32)*365+E32,912500)*0.885,0)</f>
        <v>0</v>
      </c>
      <c r="N32" s="32">
        <f>MAX((MAX(M32-110000,0)*0.2+MAX(M32-150000,0)*0.05+MAX(M32-220000,0)*0.1+MAX(M32-380000,0)*0.05+MAX(M32-550000,0)*0.04)-MIN(M32,912500)*0.025,0)/365*(365-F32)</f>
        <v>0</v>
      </c>
      <c r="O32" s="35"/>
      <c r="P32" s="27"/>
    </row>
    <row r="33" spans="1:16" ht="12.75" customHeight="1">
      <c r="A33" s="38"/>
      <c r="B33" s="3"/>
      <c r="C33" s="20">
        <v>1994</v>
      </c>
      <c r="D33" s="73"/>
      <c r="E33" s="75"/>
      <c r="F33" s="74"/>
      <c r="G33" s="80">
        <f>MIN(D33+E33,(365-F33)*2500)*0.885-N33</f>
        <v>0</v>
      </c>
      <c r="H33" s="83">
        <f>G33*6.308</f>
        <v>0</v>
      </c>
      <c r="I33" s="82">
        <f t="shared" si="0"/>
        <v>0</v>
      </c>
      <c r="J33" s="4"/>
      <c r="K33" s="38"/>
      <c r="L33" s="1"/>
      <c r="M33" s="32">
        <f>MAX(MIN(D33/(365-F33)*365+E33,912500)*0.9*0.885,0)</f>
        <v>0</v>
      </c>
      <c r="N33" s="32">
        <f>MAX((MAX(M33-110000,0)*0.2+MAX(M33-150000,0)*0.05+MAX(M33-220000,0)*0.1+MAX(M33-380000,0)*0.05+MAX(M33-550000,0)*0.04),0)/365*(365-F33)</f>
        <v>0</v>
      </c>
      <c r="O33" s="34"/>
      <c r="P33" s="27"/>
    </row>
    <row r="34" spans="1:16" ht="12.75" customHeight="1">
      <c r="A34" s="38"/>
      <c r="B34" s="3"/>
      <c r="C34" s="20">
        <v>1993</v>
      </c>
      <c r="D34" s="73"/>
      <c r="E34" s="75"/>
      <c r="F34" s="74"/>
      <c r="G34" s="80">
        <f>MIN(D34+E34,(365-F34)*2500)*0.88-N34</f>
        <v>0</v>
      </c>
      <c r="H34" s="83">
        <f>G34*8.03</f>
        <v>0</v>
      </c>
      <c r="I34" s="82">
        <f t="shared" si="0"/>
        <v>0</v>
      </c>
      <c r="J34" s="4"/>
      <c r="K34" s="38"/>
      <c r="L34" s="1"/>
      <c r="M34" s="32">
        <f>MAX(MIN(D34/(365-F34)*365+E34,912500)*0.88,0)</f>
        <v>0</v>
      </c>
      <c r="N34" s="32">
        <f>MAX((MAX(M34-100000,0)*0.25+MAX(M34-200000,0)*0.1+MAX(M34-500000,0)*0.05)-2400,0)/365*(365-F34)</f>
        <v>0</v>
      </c>
      <c r="O34" s="35"/>
      <c r="P34" s="27"/>
    </row>
    <row r="35" spans="1:16" ht="12.75" customHeight="1">
      <c r="A35" s="38"/>
      <c r="B35" s="3"/>
      <c r="C35" s="20">
        <v>1992</v>
      </c>
      <c r="D35" s="73"/>
      <c r="E35" s="75"/>
      <c r="F35" s="74"/>
      <c r="G35" s="80">
        <f>(D35+E35)*0.89-N35</f>
        <v>0</v>
      </c>
      <c r="H35" s="83">
        <f>G35*9.451</f>
        <v>0</v>
      </c>
      <c r="I35" s="82">
        <f>IF(G35&gt;0,366,0)</f>
        <v>0</v>
      </c>
      <c r="J35" s="4"/>
      <c r="K35" s="38"/>
      <c r="L35" s="1"/>
      <c r="M35" s="32">
        <f>MAX((D35/(366-F35)*366+E35)*0.89,0)</f>
        <v>0</v>
      </c>
      <c r="N35" s="32">
        <f>MAX((MAX(M35-100000,0)*0.25+MAX(M35-200000,0)*0.1+MAX(M35-500000,0)*0.05),0)/366*(366-F35)</f>
        <v>0</v>
      </c>
      <c r="O35" s="35"/>
      <c r="P35" s="27"/>
    </row>
    <row r="36" spans="1:16" ht="12.75" customHeight="1">
      <c r="A36" s="38"/>
      <c r="B36" s="3"/>
      <c r="C36" s="20">
        <v>1991</v>
      </c>
      <c r="D36" s="73"/>
      <c r="E36" s="75"/>
      <c r="F36" s="74"/>
      <c r="G36" s="80">
        <f>(D36+E36)*0.898-N36</f>
        <v>0</v>
      </c>
      <c r="H36" s="83">
        <f>G36*11.464</f>
        <v>0</v>
      </c>
      <c r="I36" s="82">
        <f t="shared" si="0"/>
        <v>0</v>
      </c>
      <c r="J36" s="4"/>
      <c r="K36" s="38"/>
      <c r="L36" s="1"/>
      <c r="M36" s="32">
        <f>MAX((D36/(365-F36)*365+E36)*0.898,0)</f>
        <v>0</v>
      </c>
      <c r="N36" s="32">
        <f>MAX((MAX(M36-55000,0)*0.12+MAX(M36-90000,0)*0.06+MAX(M36-120000,0)*0.12+MAX(M36-150000,0)*0.02+MAX(M36-300000,0)*0.08+MAX(M36-500000,0)*0.1)-3000,0)/365*(365-F36)</f>
        <v>0</v>
      </c>
      <c r="O36" s="35"/>
      <c r="P36" s="27"/>
    </row>
    <row r="37" spans="1:16" ht="12.75" customHeight="1">
      <c r="A37" s="38"/>
      <c r="B37" s="3"/>
      <c r="C37" s="20">
        <v>1990</v>
      </c>
      <c r="D37" s="73"/>
      <c r="E37" s="75"/>
      <c r="F37" s="74"/>
      <c r="G37" s="80">
        <f>(D37+E37)*0.9-N37</f>
        <v>0</v>
      </c>
      <c r="H37" s="83">
        <f>G37*14.388</f>
        <v>0</v>
      </c>
      <c r="I37" s="82">
        <f t="shared" si="0"/>
        <v>0</v>
      </c>
      <c r="J37" s="4"/>
      <c r="K37" s="38"/>
      <c r="L37" s="1"/>
      <c r="M37" s="32">
        <f>MAX((D37/(365-F37)*365+E37)*0.9-12000,0)</f>
        <v>0</v>
      </c>
      <c r="N37" s="32">
        <f>MAX((MAX(M37-55000,0)*0.15+MAX(M37-90000,0)*0.15+MAX(M37-300000,0)*0.1+MAX(M37-500000,0)*0.1),0)/365*(365-F37)</f>
        <v>0</v>
      </c>
      <c r="O37" s="35"/>
      <c r="P37" s="27"/>
    </row>
    <row r="38" spans="1:16" ht="12.75" customHeight="1">
      <c r="A38" s="38"/>
      <c r="B38" s="3"/>
      <c r="C38" s="20">
        <v>1989</v>
      </c>
      <c r="D38" s="73"/>
      <c r="E38" s="75"/>
      <c r="F38" s="74"/>
      <c r="G38" s="80">
        <f>(D38+E38)*0.9-N38</f>
        <v>0</v>
      </c>
      <c r="H38" s="83">
        <f>G38*17.495</f>
        <v>0</v>
      </c>
      <c r="I38" s="82">
        <f t="shared" si="0"/>
        <v>0</v>
      </c>
      <c r="J38" s="4"/>
      <c r="K38" s="38"/>
      <c r="L38" s="1"/>
      <c r="M38" s="32">
        <f>MAX((D38/(365-F38)*365+E38)*0.9-12000,0)</f>
        <v>0</v>
      </c>
      <c r="N38" s="32">
        <f>MAX((MAX(M38-55000,0)*0.17+MAX(M38-70000,0)*0.06+MAX(M38-100000,0)*0.06+MAX(M38-150000,0)*0.06+MAX(M38-240000,0)*0.07+MAX(M38-360000,0)*0.07+MAX(M38-600000,0)*0.07),0)/365*(365-F38)</f>
        <v>0</v>
      </c>
      <c r="O38" s="35"/>
      <c r="P38" s="27"/>
    </row>
    <row r="39" spans="1:15" ht="12.75" customHeight="1">
      <c r="A39" s="38"/>
      <c r="B39" s="3"/>
      <c r="C39" s="20">
        <v>1988</v>
      </c>
      <c r="D39" s="73"/>
      <c r="E39" s="75"/>
      <c r="F39" s="74"/>
      <c r="G39" s="80">
        <f>(D39+E39)*0.9-N39</f>
        <v>0</v>
      </c>
      <c r="H39" s="83">
        <f>G39*20.452</f>
        <v>0</v>
      </c>
      <c r="I39" s="82">
        <f>IF(G39&gt;0,366,0)</f>
        <v>0</v>
      </c>
      <c r="J39" s="4"/>
      <c r="K39" s="38"/>
      <c r="L39" s="1"/>
      <c r="M39" s="32">
        <f>MAX((D39/(366-F39)*366+E39)*0.9-12000,0)</f>
        <v>0</v>
      </c>
      <c r="N39" s="32">
        <f>MAX((MAX(M39-48000,0)*0.2+MAX(M39-70000,0)*0.05+MAX(M39-90000,0)*0.05+MAX(M39-120000,0)*0.05+MAX(M39-150000,0)*0.04+MAX(M39-180000,0)*0.05+MAX(M39-240000,0)*0.04+MAX(M39-360000,0)*0.04+MAX(M39-600000,0)*0.04+MAX(M39-800000,0)*0.04),0)/366*(366-F39)</f>
        <v>0</v>
      </c>
      <c r="O39" s="31"/>
    </row>
    <row r="40" spans="1:15" ht="12.75" customHeight="1" thickBot="1">
      <c r="A40" s="38"/>
      <c r="B40" s="5"/>
      <c r="C40" s="6"/>
      <c r="D40" s="6"/>
      <c r="E40" s="6"/>
      <c r="F40" s="6"/>
      <c r="G40" s="9"/>
      <c r="H40" s="6"/>
      <c r="I40" s="6"/>
      <c r="J40" s="7"/>
      <c r="K40" s="38"/>
      <c r="L40" s="1"/>
      <c r="M40" s="31"/>
      <c r="N40" s="31"/>
      <c r="O40" s="31"/>
    </row>
    <row r="41" spans="1:15" ht="15">
      <c r="A41" s="38"/>
      <c r="B41" s="38"/>
      <c r="C41" s="77" t="s">
        <v>0</v>
      </c>
      <c r="D41" s="39"/>
      <c r="E41" s="39"/>
      <c r="F41" s="39"/>
      <c r="G41" s="84" t="s">
        <v>21</v>
      </c>
      <c r="H41" s="38"/>
      <c r="I41" s="38"/>
      <c r="J41" s="38"/>
      <c r="K41" s="38"/>
      <c r="L41" s="1"/>
      <c r="M41" s="31"/>
      <c r="N41" s="31"/>
      <c r="O41" s="31"/>
    </row>
    <row r="42" spans="1:15" ht="15">
      <c r="A42" s="1"/>
      <c r="B42" s="1"/>
      <c r="C42" s="36"/>
      <c r="D42" s="37"/>
      <c r="E42" s="37"/>
      <c r="F42" s="37"/>
      <c r="G42" s="1"/>
      <c r="H42" s="1"/>
      <c r="I42" s="1"/>
      <c r="J42" s="1"/>
      <c r="K42" s="1"/>
      <c r="L42" s="1"/>
      <c r="M42" s="31"/>
      <c r="N42" s="31"/>
      <c r="O42" s="31"/>
    </row>
    <row r="43" spans="1:15" ht="15">
      <c r="A43" s="1"/>
      <c r="B43" s="18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31"/>
      <c r="N43" s="31"/>
      <c r="O43" s="31"/>
    </row>
    <row r="44" spans="1:15" ht="15">
      <c r="A44" s="1"/>
      <c r="B44" s="18" t="s">
        <v>18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31"/>
      <c r="N44" s="31"/>
      <c r="O44" s="31"/>
    </row>
    <row r="45" spans="1:15" ht="15">
      <c r="A45" s="1"/>
      <c r="B45" s="18" t="s">
        <v>15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31"/>
      <c r="N45" s="31"/>
      <c r="O45" s="3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1"/>
      <c r="N46" s="31"/>
      <c r="O46" s="3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1"/>
      <c r="N47" s="31"/>
      <c r="O47" s="3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1"/>
      <c r="N48" s="31"/>
      <c r="O48" s="31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1"/>
      <c r="N49" s="31"/>
      <c r="O49" s="3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1"/>
      <c r="N50" s="31"/>
      <c r="O50" s="31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1"/>
      <c r="N51" s="31"/>
      <c r="O51" s="3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1"/>
      <c r="N52" s="31"/>
      <c r="O52" s="31"/>
    </row>
    <row r="53" spans="1:1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31"/>
      <c r="N53" s="31"/>
      <c r="O53" s="31"/>
    </row>
    <row r="54" spans="13:15" ht="15">
      <c r="M54" s="31"/>
      <c r="N54" s="31"/>
      <c r="O54" s="31"/>
    </row>
  </sheetData>
  <sheetProtection password="C6A1" sheet="1" selectLockedCells="1"/>
  <hyperlinks>
    <hyperlink ref="G41" r:id="rId1" display="www.angyalado.h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AngyalJ</dc:creator>
  <cp:keywords/>
  <dc:description/>
  <cp:lastModifiedBy>Vénusz Szoftver Kft.</cp:lastModifiedBy>
  <dcterms:created xsi:type="dcterms:W3CDTF">2009-06-21T13:54:24Z</dcterms:created>
  <dcterms:modified xsi:type="dcterms:W3CDTF">2013-04-02T13:51:03Z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